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masb26" sheetId="1" r:id="rId1"/>
  </sheets>
  <externalReferences>
    <externalReference r:id="rId4"/>
  </externalReferences>
  <definedNames>
    <definedName name="_xlnm.Print_Area" localSheetId="0">'masb26'!$A$1:$M$197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<sst xmlns="http://schemas.openxmlformats.org/spreadsheetml/2006/main" count="158" uniqueCount="108">
  <si>
    <t>The Board of Directors of Ann Joo Resources Berhad is pleased to announce the unaudited results for the</t>
  </si>
  <si>
    <t>third financial quarter ended 30 September 2003.</t>
  </si>
  <si>
    <t>Condensed Consolidated Income Statements</t>
  </si>
  <si>
    <t>For the quarter ended 30 September 2003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</si>
  <si>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</si>
  <si>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</si>
  <si>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</si>
  <si>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</si>
  <si>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</si>
  <si>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</si>
  <si>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</si>
  <si>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30.09.2003</t>
  </si>
  <si>
    <t>30.09.2002</t>
  </si>
  <si>
    <t>RM'000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</si>
  <si>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</si>
  <si>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</si>
  <si>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</si>
  <si>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</si>
  <si>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</si>
  <si>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</si>
  <si>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Profit Before Taxation</t>
  </si>
  <si>
    <t>Taxation</t>
  </si>
  <si>
    <t>Profit After Taxation</t>
  </si>
  <si>
    <t>Minority Interest</t>
  </si>
  <si>
    <t>Net Profit for the period</t>
  </si>
  <si>
    <t>Earnings per share (sen) :-</t>
  </si>
  <si>
    <t>Basic</t>
  </si>
  <si>
    <t>Diluted</t>
  </si>
  <si>
    <t>(The Condensed Consolidated Income Statements should be read in conjunction with the Annual</t>
  </si>
  <si>
    <t>Financial Report for the year ended 31st December 2002)</t>
  </si>
  <si>
    <t>Condensed Consolidated Balance Sheets</t>
  </si>
  <si>
    <t>As at 30 September 2003</t>
  </si>
  <si>
    <t>As at</t>
  </si>
  <si>
    <t>31.12.2002</t>
  </si>
  <si>
    <t>Property, Plant and Equipment</t>
  </si>
  <si>
    <t>Investment in Associated Companies</t>
  </si>
  <si>
    <t>Intangible Assets</t>
  </si>
  <si>
    <t>Other Investments</t>
  </si>
  <si>
    <t>Current Assets</t>
  </si>
  <si>
    <t>Inventories</t>
  </si>
  <si>
    <t>Receivables</t>
  </si>
  <si>
    <t>Cash and cash equivalents</t>
  </si>
  <si>
    <t>Current Liabilities</t>
  </si>
  <si>
    <t>Payables</t>
  </si>
  <si>
    <t>Short term borrowings</t>
  </si>
  <si>
    <t>Net Current Assets</t>
  </si>
  <si>
    <t>Share Capital</t>
  </si>
  <si>
    <t>Reserves</t>
  </si>
  <si>
    <t>Less : Treasury shares</t>
  </si>
  <si>
    <t>Shareholders' Fund</t>
  </si>
  <si>
    <t>Minority Interests</t>
  </si>
  <si>
    <t>Long Term Liabilities</t>
  </si>
  <si>
    <t>Borrowings</t>
  </si>
  <si>
    <t>Other deferred liabilities</t>
  </si>
  <si>
    <t>Net Tangible Assets per share (RM)</t>
  </si>
  <si>
    <t>(The Condensed Consolidated Balance Sheets should be read in conjunction with the Annual</t>
  </si>
  <si>
    <t>Condensed Consolidated Cash Flow Statements</t>
  </si>
  <si>
    <t>Current Year</t>
  </si>
  <si>
    <t>Ended</t>
  </si>
  <si>
    <t>Net Profit before tax</t>
  </si>
  <si>
    <t>Adjustments for non-cash items</t>
  </si>
  <si>
    <t>Operating profit before working capital changes</t>
  </si>
  <si>
    <t>Changes in working capital</t>
  </si>
  <si>
    <t>Net change in current assets</t>
  </si>
  <si>
    <t>Net change in current liabilities</t>
  </si>
  <si>
    <t>Tax paid</t>
  </si>
  <si>
    <t>Net cash flows from operating activities</t>
  </si>
  <si>
    <t>Investing Activities</t>
  </si>
  <si>
    <t>Equity investments</t>
  </si>
  <si>
    <t>Other investments</t>
  </si>
  <si>
    <t>Net cash flows from investing activities</t>
  </si>
  <si>
    <t>Financing Activities</t>
  </si>
  <si>
    <t>Transactions with owners as owners</t>
  </si>
  <si>
    <t>Bank borrowings</t>
  </si>
  <si>
    <t>Net cash flows from financing activities</t>
  </si>
  <si>
    <t>Net Change in Cash &amp; Cash Equivalents</t>
  </si>
  <si>
    <t>Cash and cash equivalents at beginning of the financial year</t>
  </si>
  <si>
    <t>Cash and cash equivalents at end of the financial period</t>
  </si>
  <si>
    <t>Note :</t>
  </si>
  <si>
    <t>The comparative information for the preceding year's corresponding quarter has not been</t>
  </si>
  <si>
    <t>presented as such information is not readily available.</t>
  </si>
  <si>
    <t>(The Condensed Consolidated Cash Flow Statements should be read in conjunction with the Annual</t>
  </si>
  <si>
    <t>Condensed Consolidated Statements of Changes in Equity</t>
  </si>
  <si>
    <t>Reserve</t>
  </si>
  <si>
    <t>Share</t>
  </si>
  <si>
    <t>attributable</t>
  </si>
  <si>
    <t>Retained</t>
  </si>
  <si>
    <t>Treasury</t>
  </si>
  <si>
    <t>capital</t>
  </si>
  <si>
    <t>to capital</t>
  </si>
  <si>
    <t>profits</t>
  </si>
  <si>
    <t>Shares</t>
  </si>
  <si>
    <t>Total</t>
  </si>
  <si>
    <t>9 months quarter</t>
  </si>
  <si>
    <t>ended 30 September 2003</t>
  </si>
  <si>
    <t>Balance at beginning of year</t>
  </si>
  <si>
    <t>Movements during the period</t>
  </si>
  <si>
    <t>Balance at end of period</t>
  </si>
  <si>
    <t>ended 30 September 2002</t>
  </si>
  <si>
    <t>(The Condensed Consolidated Statements of Changes in Equity should be read in conjunction with the Annual</t>
  </si>
  <si>
    <t>ANN JOO RESOURCES BERHAD</t>
  </si>
  <si>
    <t>1</t>
  </si>
  <si>
    <t>Gross dividend per share (sen)</t>
  </si>
  <si>
    <t>2</t>
  </si>
  <si>
    <t>Gross interest income</t>
  </si>
  <si>
    <t>3</t>
  </si>
  <si>
    <t>Gross interest expenses</t>
  </si>
  <si>
    <r>
      <t xml:space="preserve">ANN JOO RESOURCES BERHAD </t>
    </r>
    <r>
      <rPr>
        <b/>
        <sz val="8"/>
        <rFont val="Times New Roman"/>
        <family val="1"/>
      </rPr>
      <t>(371152-U)</t>
    </r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</si>
</sst>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$&quot;#,##0"/>
    <numFmt numFmtId="171" formatCode="#,##0.0000_);\(#,##0.0000\)"/>
    <numFmt numFmtId="172" formatCode="#,##0.0000000000_);\(#,##0.0000000000\)"/>
    <numFmt numFmtId="173" formatCode="#,##0.00000000"/>
    <numFmt numFmtId="174" formatCode="#,##0.0000000000000000_);\(#,##0.0000000000000000\)"/>
    <numFmt numFmtId="175" formatCode="0.0%"/>
    <numFmt numFmtId="176" formatCode="#,##0.0"/>
    <numFmt numFmtId="177" formatCode="#,##0.0000000_);\(#,##0.0000000\)"/>
    <numFmt numFmtId="178" formatCode="#,##0.0000000000"/>
    <numFmt numFmtId="179" formatCode="#,##0.00000000000_);\(#,##0.00000000000\)"/>
    <numFmt numFmtId="180" formatCode="#,##0.0_);\(#,##0.0\)"/>
    <numFmt numFmtId="181" formatCode="#,##0.0000"/>
    <numFmt numFmtId="182" formatCode="#,##0.000000000_);\(#,##0.000000000\)"/>
    <numFmt numFmtId="183" formatCode="#,##0.00000_);\(#,##0.00000\)"/>
    <numFmt numFmtId="184" formatCode="#,##0.000000000"/>
    <numFmt numFmtId="185" formatCode="0.0000%"/>
    <numFmt numFmtId="186" formatCode="#,##0.00000000_);\(#,##0.00000000\)"/>
    <numFmt numFmtId="187" formatCode="#,##0.000000"/>
    <numFmt numFmtId="188" formatCode="#,##0.000000_);\(#,##0.000000\)"/>
    <numFmt numFmtId="189" formatCode="#,##0.00000000000000_);\(#,##0.00000000000000\)"/>
    <numFmt numFmtId="190" formatCode="#,##0.00000000000"/>
    <numFmt numFmtId="191" formatCode="_(* #,##0.0_);_(* \(#,##0.0\);_(* &quot;-&quot;_);_(@_)"/>
    <numFmt numFmtId="192" formatCode="_(* #,##0.00_);_(* \(#,##0.00\);_(* &quot;-&quot;_);_(@_)"/>
    <numFmt numFmtId="193" formatCode="_(* #,##0.000_);_(* \(#,##0.000\);_(* &quot;-&quot;_);_(@_)"/>
    <numFmt numFmtId="194" formatCode="#,##0.000_);\(#,##0.000\)"/>
    <numFmt numFmtId="195" formatCode="_(* #,##0_);_(* \(#,##0\);_(* &quot;-&quot;??_);_(@_)"/>
    <numFmt numFmtId="196" formatCode="_(* #,##0.0_);_(* \(#,##0.0\);_(* &quot;-&quot;??_);_(@_)"/>
    <numFmt numFmtId="197" formatCode="0.000%"/>
    <numFmt numFmtId="198" formatCode="_(* #,##0.0_);_(* \(#,##0.0\);_(* &quot;-&quot;?_);_(@_)"/>
    <numFmt numFmtId="199" formatCode="0.0"/>
    <numFmt numFmtId="200" formatCode="m/d"/>
    <numFmt numFmtId="201" formatCode="d/mmm/yy"/>
    <numFmt numFmtId="202" formatCode="_(* #,##0.0000000_);_(* \(#,##0.0000000\);_(* &quot;-&quot;???????_);_(@_)"/>
    <numFmt numFmtId="203" formatCode="_(* #,##0.00000000_);_(* \(#,##0.00000000\);_(* &quot;-&quot;????????_);_(@_)"/>
    <numFmt numFmtId="204" formatCode="0_);\(0\)"/>
    <numFmt numFmtId="205" formatCode="_(* #,##0.000_);_(* \(#,##0.000\);_(* &quot;-&quot;??_);_(@_)"/>
    <numFmt numFmtId="206" formatCode="_(* #,##0.00000_);_(* \(#,##0.00000\);_(* &quot;-&quot;?????_);_(@_)"/>
    <numFmt numFmtId="207" formatCode="_(* #,##0.0000_);_(* \(#,##0.0000\);_(* &quot;-&quot;??_);_(@_)"/>
    <numFmt numFmtId="208" formatCode="_(* #,##0.0000_);_(* \(#,##0.0000\);_(* &quot;-&quot;????_);_(@_)"/>
    <numFmt numFmtId="209" formatCode="0.000000000%"/>
    <numFmt numFmtId="210" formatCode="m/d/yyyy"/>
  </numFmts>
  <fonts count="10">
    <font>
      <sz val="10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9">
    <xf numFmtId="37" fontId="0" fillId="0" borderId="0" xfId="0" applyAlignment="1">
      <alignment/>
    </xf>
    <xf numFmtId="37" fontId="8" fillId="0" borderId="0" xfId="0" applyFont="1" applyAlignment="1">
      <alignment/>
    </xf>
    <xf numFmtId="37" fontId="0" fillId="0" borderId="1" xfId="0" applyFont="1" applyBorder="1" applyAlignment="1">
      <alignment horizontal="centerContinuous"/>
    </xf>
    <xf numFmtId="37" fontId="0" fillId="0" borderId="0" xfId="0" applyAlignment="1">
      <alignment horizontal="center"/>
    </xf>
    <xf numFmtId="37" fontId="0" fillId="0" borderId="0" xfId="0" applyBorder="1" applyAlignment="1" quotePrefix="1">
      <alignment horizontal="center"/>
    </xf>
    <xf numFmtId="37" fontId="0" fillId="0" borderId="1" xfId="0" applyBorder="1" applyAlignment="1">
      <alignment horizontal="center"/>
    </xf>
    <xf numFmtId="37" fontId="0" fillId="0" borderId="0" xfId="0" applyBorder="1" applyAlignment="1">
      <alignment horizontal="center"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43" fontId="0" fillId="0" borderId="0" xfId="15" applyFill="1" applyAlignment="1">
      <alignment/>
    </xf>
    <xf numFmtId="43" fontId="0" fillId="0" borderId="0" xfId="15" applyFont="1" applyFill="1" applyAlignment="1">
      <alignment horizontal="right"/>
    </xf>
    <xf numFmtId="43" fontId="0" fillId="0" borderId="0" xfId="15" applyFont="1" applyFill="1" applyAlignment="1">
      <alignment horizontal="center"/>
    </xf>
    <xf numFmtId="43" fontId="0" fillId="0" borderId="0" xfId="15" applyFont="1" applyAlignment="1">
      <alignment horizontal="left"/>
    </xf>
    <xf numFmtId="37" fontId="0" fillId="0" borderId="0" xfId="0" applyFill="1" applyBorder="1" applyAlignment="1">
      <alignment/>
    </xf>
    <xf numFmtId="37" fontId="0" fillId="0" borderId="0" xfId="0" applyFill="1" applyBorder="1" applyAlignment="1">
      <alignment horizontal="right"/>
    </xf>
    <xf numFmtId="37" fontId="0" fillId="0" borderId="0" xfId="0" applyFill="1" applyAlignment="1">
      <alignment/>
    </xf>
    <xf numFmtId="37" fontId="0" fillId="0" borderId="0" xfId="0" applyBorder="1" applyAlignment="1" quotePrefix="1">
      <alignment horizontal="centerContinuous"/>
    </xf>
    <xf numFmtId="37" fontId="0" fillId="0" borderId="0" xfId="0" applyBorder="1" applyAlignment="1">
      <alignment horizontal="centerContinuous"/>
    </xf>
    <xf numFmtId="41" fontId="0" fillId="0" borderId="0" xfId="0" applyNumberFormat="1" applyAlignment="1">
      <alignment/>
    </xf>
    <xf numFmtId="37" fontId="0" fillId="0" borderId="0" xfId="0" applyAlignment="1" quotePrefix="1">
      <alignment/>
    </xf>
    <xf numFmtId="37" fontId="0" fillId="0" borderId="0" xfId="0" applyFont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37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41" fontId="0" fillId="0" borderId="1" xfId="0" applyNumberFormat="1" applyBorder="1" applyAlignment="1">
      <alignment/>
    </xf>
    <xf numFmtId="43" fontId="0" fillId="0" borderId="5" xfId="15" applyBorder="1" applyAlignment="1">
      <alignment/>
    </xf>
    <xf numFmtId="43" fontId="0" fillId="0" borderId="0" xfId="15" applyAlignment="1">
      <alignment/>
    </xf>
    <xf numFmtId="41" fontId="0" fillId="0" borderId="0" xfId="0" applyNumberFormat="1" applyAlignment="1">
      <alignment/>
    </xf>
    <xf numFmtId="49" fontId="0" fillId="0" borderId="0" xfId="0" applyNumberFormat="1" applyAlignment="1" quotePrefix="1">
      <alignment horizontal="center"/>
    </xf>
    <xf numFmtId="37" fontId="0" fillId="0" borderId="0" xfId="0" applyBorder="1" applyAlignment="1">
      <alignment horizontal="right"/>
    </xf>
    <xf numFmtId="37" fontId="0" fillId="0" borderId="1" xfId="0" applyBorder="1" applyAlignment="1">
      <alignment horizontal="right"/>
    </xf>
    <xf numFmtId="195" fontId="0" fillId="0" borderId="0" xfId="15" applyNumberFormat="1" applyBorder="1" applyAlignment="1">
      <alignment horizontal="center"/>
    </xf>
    <xf numFmtId="37" fontId="0" fillId="0" borderId="3" xfId="0" applyBorder="1" applyAlignment="1">
      <alignment/>
    </xf>
    <xf numFmtId="37" fontId="9" fillId="0" borderId="0" xfId="0" applyFont="1" applyAlignment="1">
      <alignment/>
    </xf>
    <xf numFmtId="195" fontId="0" fillId="0" borderId="0" xfId="15" applyNumberFormat="1" applyAlignment="1">
      <alignment/>
    </xf>
    <xf numFmtId="43" fontId="0" fillId="0" borderId="2" xfId="15" applyBorder="1" applyAlignment="1">
      <alignment/>
    </xf>
    <xf numFmtId="43" fontId="0" fillId="0" borderId="0" xfId="15" applyAlignment="1">
      <alignment horizontal="right"/>
    </xf>
    <xf numFmtId="43" fontId="0" fillId="0" borderId="0" xfId="15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CONSO\sbu03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g-bs-a"/>
      <sheetName val="g-bs-b"/>
      <sheetName val="p&amp;l"/>
      <sheetName val="sum p&amp;l"/>
      <sheetName val="g-p&amp;l"/>
      <sheetName val="cf"/>
      <sheetName val="w-cf1"/>
      <sheetName val="w-cf"/>
      <sheetName val="g-cf"/>
      <sheetName val="g-aging"/>
      <sheetName val="g-t'over"/>
      <sheetName val="g-sdd"/>
      <sheetName val="c-bs-a"/>
      <sheetName val="c-bs-b"/>
      <sheetName val="c-p&amp;l"/>
      <sheetName val="sbu1 bs"/>
      <sheetName val="sbu1 pl"/>
      <sheetName val="sbu1 aging"/>
      <sheetName val="sbu1sdd-01"/>
      <sheetName val="sbu1sdd-02"/>
      <sheetName val="sbu1 sdd"/>
      <sheetName val="sbu1 usdd"/>
      <sheetName val="sbu1 w-off"/>
      <sheetName val="sbu1 t'over"/>
      <sheetName val="sbu2 bs"/>
      <sheetName val="sbu2 pl"/>
      <sheetName val="sbu2 aging"/>
      <sheetName val="sbu2sd01"/>
      <sheetName val="sbu2sd02"/>
      <sheetName val="sbu2 sdd"/>
      <sheetName val="sbu2 t'over"/>
      <sheetName val="sbu3 bs"/>
      <sheetName val="sbu3 pl"/>
      <sheetName val="sbu3 aging"/>
      <sheetName val="sbu3 t'over"/>
      <sheetName val="sbu3sd02"/>
      <sheetName val="sbu3sdd"/>
      <sheetName val="sbu3w-off"/>
      <sheetName val="index"/>
      <sheetName val="masb26"/>
      <sheetName val="segment"/>
      <sheetName val="ac-pl"/>
      <sheetName val="eps"/>
      <sheetName val="sum-acsan"/>
      <sheetName val="sum-smi"/>
      <sheetName val="ana-bs"/>
      <sheetName val="ana-pl"/>
      <sheetName val="ana-result"/>
      <sheetName val="P&amp;L-Sept"/>
    </sheetNames>
    <sheetDataSet>
      <sheetData sheetId="0">
        <row r="49">
          <cell r="F49">
            <v>262435500</v>
          </cell>
        </row>
        <row r="63">
          <cell r="F63">
            <v>134.67736497962704</v>
          </cell>
        </row>
        <row r="82">
          <cell r="H82">
            <v>255316460.2739726</v>
          </cell>
        </row>
      </sheetData>
      <sheetData sheetId="1">
        <row r="9">
          <cell r="W9">
            <v>152057222.09</v>
          </cell>
        </row>
        <row r="10">
          <cell r="W10">
            <v>0</v>
          </cell>
        </row>
        <row r="12">
          <cell r="W12">
            <v>200779217.54933524</v>
          </cell>
        </row>
        <row r="13">
          <cell r="W13">
            <v>228610.33</v>
          </cell>
        </row>
        <row r="14">
          <cell r="W14">
            <v>150201.0500000001</v>
          </cell>
        </row>
        <row r="15">
          <cell r="W15">
            <v>18807.1</v>
          </cell>
        </row>
        <row r="16">
          <cell r="W16">
            <v>0</v>
          </cell>
        </row>
        <row r="19">
          <cell r="W19">
            <v>120062209.16</v>
          </cell>
        </row>
        <row r="20">
          <cell r="W20">
            <v>75623980.21</v>
          </cell>
        </row>
        <row r="21">
          <cell r="W21">
            <v>4289440.2299999995</v>
          </cell>
        </row>
        <row r="22">
          <cell r="W22">
            <v>0</v>
          </cell>
        </row>
        <row r="23">
          <cell r="W23">
            <v>650748.48</v>
          </cell>
        </row>
        <row r="24">
          <cell r="W24">
            <v>1995386.86</v>
          </cell>
        </row>
        <row r="25">
          <cell r="W25">
            <v>9091000</v>
          </cell>
        </row>
        <row r="26">
          <cell r="W26">
            <v>4163559.7200000025</v>
          </cell>
        </row>
        <row r="31">
          <cell r="W31">
            <v>8026134.760000002</v>
          </cell>
        </row>
        <row r="32">
          <cell r="W32">
            <v>6048643.339999998</v>
          </cell>
        </row>
        <row r="33">
          <cell r="W33">
            <v>0</v>
          </cell>
        </row>
        <row r="34">
          <cell r="W34">
            <v>1512347.3599999999</v>
          </cell>
        </row>
        <row r="35">
          <cell r="W35">
            <v>0</v>
          </cell>
        </row>
        <row r="37">
          <cell r="W37">
            <v>500000</v>
          </cell>
        </row>
        <row r="38">
          <cell r="W38">
            <v>12500000</v>
          </cell>
        </row>
        <row r="39">
          <cell r="W39">
            <v>76968542.24</v>
          </cell>
        </row>
        <row r="40">
          <cell r="W40">
            <v>2042696.6400000001</v>
          </cell>
        </row>
        <row r="41">
          <cell r="W41">
            <v>10974918.55</v>
          </cell>
        </row>
        <row r="42">
          <cell r="W42">
            <v>162354.25</v>
          </cell>
        </row>
        <row r="51">
          <cell r="W51">
            <v>262435500</v>
          </cell>
        </row>
        <row r="52">
          <cell r="W52">
            <v>34083634.35</v>
          </cell>
        </row>
        <row r="53">
          <cell r="W53">
            <v>103273623.21236521</v>
          </cell>
        </row>
        <row r="54">
          <cell r="W54">
            <v>30860751.62</v>
          </cell>
        </row>
        <row r="55">
          <cell r="W55">
            <v>2500000</v>
          </cell>
        </row>
        <row r="56">
          <cell r="W56">
            <v>-43654988.15</v>
          </cell>
        </row>
        <row r="57">
          <cell r="W57">
            <v>5656522.152246</v>
          </cell>
        </row>
        <row r="58">
          <cell r="W58">
            <v>140800</v>
          </cell>
        </row>
        <row r="59">
          <cell r="W59">
            <v>-14067.23</v>
          </cell>
        </row>
        <row r="60">
          <cell r="W60">
            <v>395281775.95461124</v>
          </cell>
        </row>
        <row r="61">
          <cell r="W61">
            <v>22895301.354724</v>
          </cell>
        </row>
        <row r="62">
          <cell r="W62">
            <v>0</v>
          </cell>
        </row>
        <row r="63">
          <cell r="W63">
            <v>15625000</v>
          </cell>
        </row>
        <row r="64">
          <cell r="W64">
            <v>1688725.48</v>
          </cell>
        </row>
        <row r="65">
          <cell r="W65">
            <v>14883939.499999998</v>
          </cell>
        </row>
      </sheetData>
      <sheetData sheetId="5">
        <row r="181">
          <cell r="Z181">
            <v>335164123.11</v>
          </cell>
        </row>
        <row r="183">
          <cell r="Z183">
            <v>295989547.79</v>
          </cell>
        </row>
        <row r="188">
          <cell r="Z188">
            <v>3570432.9200000004</v>
          </cell>
        </row>
        <row r="195">
          <cell r="Z195">
            <v>295925.39</v>
          </cell>
        </row>
        <row r="196">
          <cell r="Z196">
            <v>21473006.160000004</v>
          </cell>
        </row>
        <row r="200">
          <cell r="Z200">
            <v>1163261.9299999997</v>
          </cell>
        </row>
        <row r="202">
          <cell r="Z202">
            <v>22766194.952999994</v>
          </cell>
        </row>
        <row r="206">
          <cell r="Z206">
            <v>8445875.818963999</v>
          </cell>
        </row>
        <row r="210">
          <cell r="Z210">
            <v>14478982.933</v>
          </cell>
        </row>
        <row r="214">
          <cell r="Z214">
            <v>1882109.5573999998</v>
          </cell>
        </row>
        <row r="526">
          <cell r="Z526">
            <v>106157304.85000002</v>
          </cell>
        </row>
        <row r="528">
          <cell r="Z528">
            <v>94759617.30000001</v>
          </cell>
        </row>
        <row r="533">
          <cell r="Z533">
            <v>1087074.4399999997</v>
          </cell>
        </row>
        <row r="540">
          <cell r="Z540">
            <v>86556.51000000002</v>
          </cell>
        </row>
        <row r="541">
          <cell r="Z541">
            <v>7371598.249999998</v>
          </cell>
        </row>
        <row r="545">
          <cell r="Z545">
            <v>369168.55000000005</v>
          </cell>
        </row>
        <row r="547">
          <cell r="Z547">
            <v>2041751.1799999983</v>
          </cell>
        </row>
        <row r="551">
          <cell r="Z551">
            <v>1874514.5285799995</v>
          </cell>
        </row>
        <row r="555">
          <cell r="Z555">
            <v>2186172.539999999</v>
          </cell>
        </row>
        <row r="559">
          <cell r="Z559">
            <v>637531.5563839998</v>
          </cell>
        </row>
      </sheetData>
      <sheetData sheetId="6">
        <row r="7">
          <cell r="L7">
            <v>50076902</v>
          </cell>
        </row>
        <row r="9">
          <cell r="J9">
            <v>7338494</v>
          </cell>
        </row>
        <row r="10">
          <cell r="J10">
            <v>296339</v>
          </cell>
        </row>
        <row r="11">
          <cell r="J11">
            <v>-19173020</v>
          </cell>
        </row>
        <row r="12">
          <cell r="J12">
            <v>1388</v>
          </cell>
        </row>
        <row r="13">
          <cell r="J13">
            <v>0</v>
          </cell>
        </row>
        <row r="14">
          <cell r="J14">
            <v>-8445876</v>
          </cell>
        </row>
        <row r="15">
          <cell r="J15">
            <v>170866</v>
          </cell>
        </row>
        <row r="16">
          <cell r="J16">
            <v>247835.25</v>
          </cell>
        </row>
        <row r="17">
          <cell r="J17">
            <v>0</v>
          </cell>
        </row>
        <row r="19">
          <cell r="J19">
            <v>673725.85</v>
          </cell>
        </row>
        <row r="22">
          <cell r="J22">
            <v>-16000</v>
          </cell>
        </row>
        <row r="23">
          <cell r="J23">
            <v>-242365</v>
          </cell>
        </row>
        <row r="26">
          <cell r="J26">
            <v>1518492.39</v>
          </cell>
        </row>
        <row r="30">
          <cell r="L30">
            <v>-5331328</v>
          </cell>
        </row>
        <row r="31">
          <cell r="L31">
            <v>-11963731</v>
          </cell>
        </row>
        <row r="35">
          <cell r="L35">
            <v>-2925837</v>
          </cell>
        </row>
        <row r="39">
          <cell r="L39">
            <v>-310609</v>
          </cell>
        </row>
        <row r="41">
          <cell r="L41">
            <v>-5466048</v>
          </cell>
        </row>
        <row r="42">
          <cell r="C42" t="str">
            <v>Retirement benefits paid</v>
          </cell>
          <cell r="L42">
            <v>-1514112.6599999997</v>
          </cell>
        </row>
        <row r="48">
          <cell r="L48">
            <v>35629515</v>
          </cell>
        </row>
        <row r="49">
          <cell r="L49">
            <v>-5389772</v>
          </cell>
        </row>
        <row r="50">
          <cell r="L50">
            <v>-1421920.649703227</v>
          </cell>
        </row>
        <row r="51">
          <cell r="L51">
            <v>0</v>
          </cell>
        </row>
        <row r="52">
          <cell r="L52">
            <v>3487595</v>
          </cell>
        </row>
        <row r="53">
          <cell r="L53">
            <v>-1330487</v>
          </cell>
        </row>
        <row r="59">
          <cell r="L59">
            <v>11248565</v>
          </cell>
        </row>
        <row r="60">
          <cell r="L60">
            <v>-17560165</v>
          </cell>
        </row>
        <row r="61">
          <cell r="L61">
            <v>-14067.23</v>
          </cell>
        </row>
        <row r="64">
          <cell r="L64">
            <v>-24432956</v>
          </cell>
        </row>
        <row r="68">
          <cell r="L68">
            <v>6060449.45</v>
          </cell>
        </row>
        <row r="70">
          <cell r="L70">
            <v>11211872.550296772</v>
          </cell>
        </row>
      </sheetData>
      <sheetData sheetId="8">
        <row r="48">
          <cell r="J48">
            <v>10320500</v>
          </cell>
        </row>
        <row r="49">
          <cell r="J49">
            <v>787265</v>
          </cell>
        </row>
        <row r="50">
          <cell r="J50">
            <v>-2341925.5982407928</v>
          </cell>
        </row>
        <row r="51">
          <cell r="J51">
            <v>-12794236.789999995</v>
          </cell>
        </row>
        <row r="52">
          <cell r="J52">
            <v>0</v>
          </cell>
        </row>
        <row r="53">
          <cell r="J53">
            <v>0</v>
          </cell>
        </row>
        <row r="54">
          <cell r="J54">
            <v>368824.4000000004</v>
          </cell>
        </row>
        <row r="55">
          <cell r="J55">
            <v>140800</v>
          </cell>
        </row>
        <row r="56">
          <cell r="J56">
            <v>-14067.23</v>
          </cell>
        </row>
      </sheetData>
      <sheetData sheetId="42">
        <row r="50">
          <cell r="J50">
            <v>5487819.462196013</v>
          </cell>
          <cell r="N50">
            <v>33715809.34570004</v>
          </cell>
        </row>
      </sheetData>
      <sheetData sheetId="43">
        <row r="80">
          <cell r="K80">
            <v>2.0084217951812695</v>
          </cell>
          <cell r="O80">
            <v>12.196344940271835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6"/>
  <sheetViews>
    <sheetView tabSelected="1" workbookViewId="0" topLeftCell="A115">
      <selection activeCell="G142" sqref="G142"/>
    </sheetView>
  </sheetViews>
  <sheetFormatPr defaultColWidth="9.33203125" defaultRowHeight="12.75"/>
  <cols>
    <col min="1" max="2" width="5.83203125" style="0" customWidth="1"/>
    <col min="5" max="5" width="10.83203125" style="0" customWidth="1"/>
    <col min="6" max="6" width="2.66015625" style="0" customWidth="1"/>
    <col min="7" max="7" width="11.83203125" style="0" customWidth="1"/>
    <col min="8" max="8" width="2.66015625" style="0" customWidth="1"/>
    <col min="9" max="9" width="14.66015625" style="0" customWidth="1"/>
    <col min="10" max="10" width="2.5" style="0" customWidth="1"/>
    <col min="11" max="11" width="14.66015625" style="0" customWidth="1"/>
    <col min="12" max="12" width="2.66015625" style="0" customWidth="1"/>
    <col min="13" max="13" width="14.66015625" style="0" customWidth="1"/>
    <col min="14" max="14" width="4.16015625" style="0" customWidth="1"/>
    <col min="15" max="15" width="7.66015625" style="0" bestFit="1" customWidth="1"/>
  </cols>
  <sheetData>
    <row r="1" ht="12.75">
      <c r="A1" s="1" t="s">
        <v>107</v>
      </c>
    </row>
    <row r="3" ht="12.75">
      <c r="A3" s="1" t="s">
        <v>0</v>
      </c>
    </row>
    <row r="4" ht="12.75">
      <c r="A4" s="1" t="s">
        <v>1</v>
      </c>
    </row>
    <row r="5" ht="12.75">
      <c r="A5" s="1"/>
    </row>
    <row r="7" ht="12.75">
      <c r="A7" s="1" t="s">
        <v>2</v>
      </c>
    </row>
    <row r="8" ht="12.75">
      <c r="A8" s="1" t="s">
        <v>3</v>
      </c>
    </row>
    <row r="10" spans="7:13" ht="12.75">
      <c r="G10" s="2" t="s">
        <v>4</v>
      </c>
      <c r="H10" s="2"/>
      <c r="I10" s="2"/>
      <c r="K10" s="2" t="s">
        <v>5</v>
      </c>
      <c r="L10" s="2"/>
      <c r="M10" s="2"/>
    </row>
    <row r="11" spans="7:13" ht="12.75">
      <c r="G11" s="3" t="s">
        <v>6</v>
      </c>
      <c r="H11" s="3"/>
      <c r="I11" s="3" t="s">
        <v>7</v>
      </c>
      <c r="K11" s="3" t="s">
        <v>6</v>
      </c>
      <c r="L11" s="3"/>
      <c r="M11" s="3" t="s">
        <v>7</v>
      </c>
    </row>
    <row r="12" spans="7:13" ht="12.75">
      <c r="G12" s="3" t="s">
        <v>8</v>
      </c>
      <c r="H12" s="3"/>
      <c r="I12" s="3" t="s">
        <v>9</v>
      </c>
      <c r="K12" s="3" t="s">
        <v>8</v>
      </c>
      <c r="L12" s="3"/>
      <c r="M12" s="3" t="s">
        <v>9</v>
      </c>
    </row>
    <row r="13" spans="7:13" ht="12.75">
      <c r="G13" s="3" t="s">
        <v>10</v>
      </c>
      <c r="H13" s="3"/>
      <c r="I13" s="3" t="s">
        <v>10</v>
      </c>
      <c r="K13" s="3" t="s">
        <v>10</v>
      </c>
      <c r="L13" s="3"/>
      <c r="M13" s="3" t="s">
        <v>10</v>
      </c>
    </row>
    <row r="14" spans="7:13" ht="12.75">
      <c r="G14" s="4" t="s">
        <v>11</v>
      </c>
      <c r="H14" s="3"/>
      <c r="I14" s="4" t="s">
        <v>12</v>
      </c>
      <c r="K14" s="4" t="str">
        <f>+G14</f>
        <v>30.09.2003</v>
      </c>
      <c r="L14" s="3"/>
      <c r="M14" s="4" t="str">
        <f>+I14</f>
        <v>30.09.2002</v>
      </c>
    </row>
    <row r="15" spans="7:13" ht="12.75">
      <c r="G15" s="5" t="s">
        <v>13</v>
      </c>
      <c r="H15" s="3"/>
      <c r="I15" s="5" t="s">
        <v>13</v>
      </c>
      <c r="K15" s="5" t="s">
        <v>13</v>
      </c>
      <c r="L15" s="3"/>
      <c r="M15" s="5" t="s">
        <v>13</v>
      </c>
    </row>
    <row r="16" spans="7:13" ht="12.75">
      <c r="G16" s="6"/>
      <c r="H16" s="3"/>
      <c r="I16" s="6"/>
      <c r="K16" s="6"/>
      <c r="L16" s="3"/>
      <c r="M16" s="6"/>
    </row>
    <row r="17" spans="1:13" ht="12.75">
      <c r="A17" t="s">
        <v>14</v>
      </c>
      <c r="G17">
        <f>ROUND('[1]g-p&amp;l'!Z526/1000,0)</f>
        <v>106157</v>
      </c>
      <c r="I17">
        <v>80753</v>
      </c>
      <c r="K17">
        <f>ROUND('[1]g-p&amp;l'!Z181/1000,0)</f>
        <v>335164</v>
      </c>
      <c r="M17">
        <v>277389</v>
      </c>
    </row>
    <row r="19" spans="1:13" ht="12.75">
      <c r="A19" t="s">
        <v>15</v>
      </c>
      <c r="G19">
        <f>-ROUND(('[1]g-p&amp;l'!Z528+'[1]g-p&amp;l'!Z541)/1000,0)-G25</f>
        <v>-100957.36905</v>
      </c>
      <c r="I19">
        <v>-76526</v>
      </c>
      <c r="K19">
        <f>-ROUND(('[1]g-p&amp;l'!Z183+'[1]g-p&amp;l'!Z196)/1000,0)-K25</f>
        <v>-313597</v>
      </c>
      <c r="M19">
        <v>-262032</v>
      </c>
    </row>
    <row r="21" spans="1:13" ht="12.75">
      <c r="A21" t="s">
        <v>16</v>
      </c>
      <c r="G21">
        <f>ROUND((+'[1]g-p&amp;l'!Z545+'[1]g-p&amp;l'!Z547)/1000,0)</f>
        <v>2411</v>
      </c>
      <c r="I21">
        <v>882</v>
      </c>
      <c r="K21">
        <f>ROUND(('[1]g-p&amp;l'!Z200+'[1]g-p&amp;l'!Z202)/1000,0)</f>
        <v>23929</v>
      </c>
      <c r="M21">
        <v>3363</v>
      </c>
    </row>
    <row r="22" spans="7:13" ht="12.75">
      <c r="G22" s="7"/>
      <c r="I22" s="7"/>
      <c r="K22" s="7"/>
      <c r="M22" s="7"/>
    </row>
    <row r="23" spans="1:13" ht="12.75">
      <c r="A23" t="s">
        <v>17</v>
      </c>
      <c r="G23">
        <f>SUM(G16:G22)</f>
        <v>7610.630950000006</v>
      </c>
      <c r="I23">
        <f>SUM(I16:I22)</f>
        <v>5109</v>
      </c>
      <c r="K23">
        <f>SUM(K16:K22)</f>
        <v>45496</v>
      </c>
      <c r="M23">
        <f>SUM(M16:M22)</f>
        <v>18720</v>
      </c>
    </row>
    <row r="25" spans="1:13" ht="12.75">
      <c r="A25" t="s">
        <v>18</v>
      </c>
      <c r="G25">
        <f>-('[1]g-p&amp;l'!Z533+'[1]g-p&amp;l'!Z540)/1000</f>
        <v>-1173.6309499999998</v>
      </c>
      <c r="I25">
        <v>-593</v>
      </c>
      <c r="K25">
        <f>-ROUND((+'[1]g-p&amp;l'!Z188+'[1]g-p&amp;l'!Z195)/1000,0)</f>
        <v>-3866</v>
      </c>
      <c r="M25">
        <v>-1868</v>
      </c>
    </row>
    <row r="27" spans="1:13" ht="12.75">
      <c r="A27" t="s">
        <v>19</v>
      </c>
      <c r="G27">
        <f>ROUND('[1]g-p&amp;l'!Z551/1000,0)</f>
        <v>1875</v>
      </c>
      <c r="I27">
        <v>3922</v>
      </c>
      <c r="K27">
        <f>ROUND('[1]g-p&amp;l'!Z206/1000,0)</f>
        <v>8446</v>
      </c>
      <c r="M27">
        <v>12330</v>
      </c>
    </row>
    <row r="28" spans="7:13" ht="12.75">
      <c r="G28" s="7"/>
      <c r="I28" s="7"/>
      <c r="K28" s="7"/>
      <c r="M28" s="7"/>
    </row>
    <row r="29" spans="1:13" ht="12.75">
      <c r="A29" t="s">
        <v>20</v>
      </c>
      <c r="G29">
        <f>SUM(G23:G28)</f>
        <v>8312.000000000007</v>
      </c>
      <c r="I29">
        <f>SUM(I23:I28)</f>
        <v>8438</v>
      </c>
      <c r="K29">
        <f>SUM(K23:K28)</f>
        <v>50076</v>
      </c>
      <c r="M29">
        <f>SUM(M23:M28)</f>
        <v>29182</v>
      </c>
    </row>
    <row r="31" spans="1:13" ht="12.75">
      <c r="A31" t="s">
        <v>21</v>
      </c>
      <c r="G31">
        <f>-ROUND('[1]g-p&amp;l'!Z555/1000,0)</f>
        <v>-2186</v>
      </c>
      <c r="I31">
        <v>-3209</v>
      </c>
      <c r="K31">
        <f>-ROUND('[1]g-p&amp;l'!Z210/1000,0)</f>
        <v>-14479</v>
      </c>
      <c r="M31">
        <v>-7034</v>
      </c>
    </row>
    <row r="32" spans="7:13" ht="12.75">
      <c r="G32" s="7"/>
      <c r="I32" s="7"/>
      <c r="K32" s="7"/>
      <c r="M32" s="7"/>
    </row>
    <row r="33" spans="1:13" ht="12.75">
      <c r="A33" t="s">
        <v>22</v>
      </c>
      <c r="G33">
        <f>SUM(G29:G32)</f>
        <v>6126.000000000007</v>
      </c>
      <c r="I33">
        <f>SUM(I29:I32)</f>
        <v>5229</v>
      </c>
      <c r="K33">
        <f>SUM(K29:K32)</f>
        <v>35597</v>
      </c>
      <c r="M33">
        <f>SUM(M29:M32)</f>
        <v>22148</v>
      </c>
    </row>
    <row r="35" spans="1:13" ht="12.75">
      <c r="A35" t="s">
        <v>23</v>
      </c>
      <c r="G35">
        <f>-ROUND('[1]g-p&amp;l'!Z559/1000,0)</f>
        <v>-638</v>
      </c>
      <c r="I35">
        <v>-322</v>
      </c>
      <c r="K35">
        <f>-ROUND('[1]g-p&amp;l'!Z214/1000,0)</f>
        <v>-1882</v>
      </c>
      <c r="M35">
        <v>-1259</v>
      </c>
    </row>
    <row r="37" spans="1:15" ht="13.5" thickBot="1">
      <c r="A37" t="s">
        <v>24</v>
      </c>
      <c r="G37" s="8">
        <f>SUM(G33:G36)</f>
        <v>5488.000000000007</v>
      </c>
      <c r="I37" s="8">
        <f>SUM(I33:I36)</f>
        <v>4907</v>
      </c>
      <c r="K37" s="8">
        <f>SUM(K33:K36)</f>
        <v>33715</v>
      </c>
      <c r="M37" s="8">
        <f>SUM(M33:M36)</f>
        <v>20889</v>
      </c>
      <c r="O37">
        <f>+G37-'[1]ac-pl'!J50/1000</f>
        <v>0.18053780399441166</v>
      </c>
    </row>
    <row r="38" ht="12.75">
      <c r="O38">
        <f>+K37-'[1]ac-pl'!N50/1000</f>
        <v>-0.8093457000431954</v>
      </c>
    </row>
    <row r="40" spans="1:13" ht="12.75">
      <c r="A40" t="s">
        <v>25</v>
      </c>
      <c r="G40" s="3"/>
      <c r="I40" s="3"/>
      <c r="K40" s="3"/>
      <c r="M40" s="3"/>
    </row>
    <row r="41" spans="2:13" ht="12.75">
      <c r="B41" t="s">
        <v>26</v>
      </c>
      <c r="G41" s="9">
        <f>+G37/('[1]bs'!F49/1000)*100</f>
        <v>2.091180499589426</v>
      </c>
      <c r="H41" s="9"/>
      <c r="I41" s="9">
        <v>1.95</v>
      </c>
      <c r="J41" s="9"/>
      <c r="K41" s="9">
        <f>+K37/('[1]bs'!H82/1000)*100</f>
        <v>13.205180725058394</v>
      </c>
      <c r="L41" s="9"/>
      <c r="M41" s="9">
        <v>8.29</v>
      </c>
    </row>
    <row r="42" spans="2:14" ht="12.75">
      <c r="B42" t="s">
        <v>27</v>
      </c>
      <c r="G42" s="9">
        <f>'[1]eps'!K80</f>
        <v>2.0084217951812695</v>
      </c>
      <c r="H42" s="9"/>
      <c r="I42" s="10">
        <v>1.9</v>
      </c>
      <c r="J42" s="11"/>
      <c r="K42" s="9">
        <f>+'[1]eps'!O80</f>
        <v>12.196344940271835</v>
      </c>
      <c r="L42" s="9"/>
      <c r="M42" s="10">
        <v>8.07</v>
      </c>
      <c r="N42" s="12"/>
    </row>
    <row r="44" spans="1:15" ht="12.75">
      <c r="A44" s="13"/>
      <c r="B44" s="14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5"/>
    </row>
    <row r="45" spans="1:15" ht="12.75">
      <c r="A45" s="13"/>
      <c r="B45" s="14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5"/>
    </row>
    <row r="47" ht="12.75">
      <c r="A47" t="s">
        <v>28</v>
      </c>
    </row>
    <row r="48" ht="12.75">
      <c r="A48" t="s">
        <v>29</v>
      </c>
    </row>
    <row r="51" ht="12.75">
      <c r="A51" s="1" t="s">
        <v>107</v>
      </c>
    </row>
    <row r="53" ht="12.75">
      <c r="A53" s="1" t="s">
        <v>30</v>
      </c>
    </row>
    <row r="54" ht="12.75">
      <c r="A54" s="1" t="s">
        <v>31</v>
      </c>
    </row>
    <row r="56" spans="9:11" ht="12.75">
      <c r="I56" s="16"/>
      <c r="J56" s="17"/>
      <c r="K56" s="17"/>
    </row>
    <row r="57" spans="7:9" ht="12.75">
      <c r="G57" s="6" t="s">
        <v>32</v>
      </c>
      <c r="H57" s="6"/>
      <c r="I57" s="6" t="s">
        <v>32</v>
      </c>
    </row>
    <row r="58" spans="7:9" ht="12.75">
      <c r="G58" s="4" t="str">
        <f>+G14</f>
        <v>30.09.2003</v>
      </c>
      <c r="H58" s="6"/>
      <c r="I58" s="4" t="s">
        <v>33</v>
      </c>
    </row>
    <row r="59" spans="7:9" ht="12.75">
      <c r="G59" s="5" t="s">
        <v>13</v>
      </c>
      <c r="H59" s="3"/>
      <c r="I59" s="5" t="s">
        <v>13</v>
      </c>
    </row>
    <row r="60" spans="7:9" ht="12.75">
      <c r="G60" s="6"/>
      <c r="H60" s="3"/>
      <c r="I60" s="6"/>
    </row>
    <row r="61" spans="1:9" ht="12.75">
      <c r="A61" t="s">
        <v>34</v>
      </c>
      <c r="G61" s="18">
        <f>(+'[1]g-bs-a'!W9+'[1]g-bs-a'!W10)/1000</f>
        <v>152057.22209</v>
      </c>
      <c r="I61" s="18">
        <v>165447</v>
      </c>
    </row>
    <row r="62" spans="1:9" ht="12.75">
      <c r="A62" t="s">
        <v>35</v>
      </c>
      <c r="G62" s="18">
        <f>+'[1]g-bs-a'!W12/1000</f>
        <v>200779.21754933524</v>
      </c>
      <c r="I62" s="18">
        <v>213781</v>
      </c>
    </row>
    <row r="63" spans="1:9" ht="12.75">
      <c r="A63" t="s">
        <v>36</v>
      </c>
      <c r="G63" s="18">
        <f>(+'[1]g-bs-a'!W14+'[1]g-bs-a'!W15)/1000</f>
        <v>169.00815000000011</v>
      </c>
      <c r="I63" s="18">
        <v>497</v>
      </c>
    </row>
    <row r="64" spans="1:9" ht="12.75">
      <c r="A64" t="s">
        <v>37</v>
      </c>
      <c r="G64" s="18">
        <f>(+'[1]g-bs-a'!W13+'[1]g-bs-a'!W16)/1000</f>
        <v>228.61032999999998</v>
      </c>
      <c r="I64" s="18">
        <v>230</v>
      </c>
    </row>
    <row r="65" spans="7:9" ht="12.75">
      <c r="G65" s="18"/>
      <c r="I65" s="18"/>
    </row>
    <row r="66" spans="1:9" ht="12.75">
      <c r="A66" t="s">
        <v>38</v>
      </c>
      <c r="G66" s="18"/>
      <c r="I66" s="18"/>
    </row>
    <row r="67" spans="1:9" ht="12.75">
      <c r="A67" s="19"/>
      <c r="B67" t="s">
        <v>39</v>
      </c>
      <c r="G67" s="18">
        <f>+'[1]g-bs-a'!W19/1000+0.5</f>
        <v>120062.70916</v>
      </c>
      <c r="I67" s="18">
        <v>105714</v>
      </c>
    </row>
    <row r="68" spans="1:9" ht="12.75">
      <c r="A68" s="19"/>
      <c r="B68" t="s">
        <v>40</v>
      </c>
      <c r="G68" s="18">
        <f>SUM('[1]g-bs-a'!W20:W24)/1000</f>
        <v>82559.55578</v>
      </c>
      <c r="I68" s="18">
        <v>58511</v>
      </c>
    </row>
    <row r="69" spans="1:9" ht="12.75">
      <c r="A69" s="19"/>
      <c r="B69" t="s">
        <v>41</v>
      </c>
      <c r="G69" s="18">
        <f>+(+'[1]g-bs-a'!W25+'[1]g-bs-a'!W26)/1000</f>
        <v>13254.559720000003</v>
      </c>
      <c r="I69" s="18">
        <v>7916</v>
      </c>
    </row>
    <row r="70" spans="2:9" ht="12.75">
      <c r="B70" s="20"/>
      <c r="G70" s="21">
        <f>SUM(G67:G69)</f>
        <v>215876.82465999998</v>
      </c>
      <c r="I70" s="21">
        <f>SUM(I67:I69)</f>
        <v>172141</v>
      </c>
    </row>
    <row r="71" spans="7:9" ht="12.75">
      <c r="G71" s="18"/>
      <c r="I71" s="18"/>
    </row>
    <row r="72" spans="1:9" ht="12.75">
      <c r="A72" t="s">
        <v>42</v>
      </c>
      <c r="G72" s="18"/>
      <c r="I72" s="18"/>
    </row>
    <row r="73" spans="1:9" ht="12.75">
      <c r="A73" s="19"/>
      <c r="B73" t="s">
        <v>43</v>
      </c>
      <c r="G73" s="18">
        <f>(SUM('[1]g-bs-a'!W31:W35)+'[1]g-bs-a'!W42)/1000</f>
        <v>15749.47971</v>
      </c>
      <c r="I73" s="18">
        <v>17294</v>
      </c>
    </row>
    <row r="74" spans="1:9" ht="12.75">
      <c r="A74" s="19"/>
      <c r="B74" t="s">
        <v>44</v>
      </c>
      <c r="G74" s="18">
        <f>SUM('[1]g-bs-a'!W37:W40)/1000</f>
        <v>92011.23887999999</v>
      </c>
      <c r="I74" s="18">
        <v>90637</v>
      </c>
    </row>
    <row r="75" spans="1:9" ht="12.75">
      <c r="A75" s="19"/>
      <c r="B75" t="s">
        <v>21</v>
      </c>
      <c r="G75" s="18">
        <f>+'[1]g-bs-a'!W41/1000</f>
        <v>10974.91855</v>
      </c>
      <c r="I75" s="18">
        <v>765</v>
      </c>
    </row>
    <row r="76" spans="7:9" ht="12.75">
      <c r="G76" s="21">
        <f>SUM(G73:G75)</f>
        <v>118735.63713999999</v>
      </c>
      <c r="I76" s="21">
        <f>SUM(I73:I75)</f>
        <v>108696</v>
      </c>
    </row>
    <row r="77" spans="7:9" ht="12.75">
      <c r="G77" s="18"/>
      <c r="I77" s="18"/>
    </row>
    <row r="78" spans="1:9" ht="12.75">
      <c r="A78" t="s">
        <v>45</v>
      </c>
      <c r="G78" s="18">
        <f>+G70-G76</f>
        <v>97141.18751999999</v>
      </c>
      <c r="I78" s="18">
        <f>+I70-I76</f>
        <v>63445</v>
      </c>
    </row>
    <row r="79" spans="7:9" ht="12.75">
      <c r="G79" s="18"/>
      <c r="I79" s="18"/>
    </row>
    <row r="80" spans="7:9" ht="13.5" thickBot="1">
      <c r="G80" s="22">
        <f>SUM(G61:G64)+G78</f>
        <v>450375.24563933525</v>
      </c>
      <c r="I80" s="22">
        <f>SUM(I61:I64)+I78</f>
        <v>443400</v>
      </c>
    </row>
    <row r="81" spans="7:15" ht="13.5" thickTop="1">
      <c r="G81" s="18"/>
      <c r="I81" s="18"/>
      <c r="O81" s="23"/>
    </row>
    <row r="82" spans="7:9" ht="12.75">
      <c r="G82" s="18"/>
      <c r="I82" s="18"/>
    </row>
    <row r="83" spans="1:9" ht="12.75">
      <c r="A83" t="s">
        <v>46</v>
      </c>
      <c r="G83" s="18">
        <f>ROUND(+'[1]g-bs-a'!W51/1000,0)</f>
        <v>262436</v>
      </c>
      <c r="I83" s="18">
        <v>252115</v>
      </c>
    </row>
    <row r="84" spans="1:9" ht="12" customHeight="1">
      <c r="A84" t="s">
        <v>47</v>
      </c>
      <c r="G84" s="24">
        <f>ROUND(SUM('[1]g-bs-a'!W52:W58)/1000,0)</f>
        <v>132860</v>
      </c>
      <c r="I84" s="24">
        <v>146700</v>
      </c>
    </row>
    <row r="85" spans="1:9" ht="12" customHeight="1">
      <c r="A85" t="s">
        <v>48</v>
      </c>
      <c r="G85" s="25">
        <f>ROUND(+'[1]g-bs-a'!W59/1000,0)</f>
        <v>-14</v>
      </c>
      <c r="I85" s="25">
        <v>0</v>
      </c>
    </row>
    <row r="86" spans="1:9" ht="12.75">
      <c r="A86" t="s">
        <v>49</v>
      </c>
      <c r="G86" s="18">
        <f>SUM(G83:G85)</f>
        <v>395282</v>
      </c>
      <c r="I86" s="18">
        <f>SUM(I83:I84)</f>
        <v>398815</v>
      </c>
    </row>
    <row r="87" spans="1:9" ht="12.75">
      <c r="A87" t="s">
        <v>50</v>
      </c>
      <c r="G87" s="18">
        <f>+'[1]g-bs-a'!W61/1000</f>
        <v>22895.301354724</v>
      </c>
      <c r="I87" s="18">
        <v>15590</v>
      </c>
    </row>
    <row r="88" spans="1:9" ht="12.75">
      <c r="A88" t="s">
        <v>51</v>
      </c>
      <c r="G88" s="18"/>
      <c r="I88" s="18"/>
    </row>
    <row r="89" spans="2:9" ht="12.75">
      <c r="B89" t="s">
        <v>52</v>
      </c>
      <c r="G89" s="18">
        <f>+'[1]g-bs-a'!W63/1000</f>
        <v>15625</v>
      </c>
      <c r="I89" s="18">
        <v>25000</v>
      </c>
    </row>
    <row r="90" spans="2:9" ht="12.75">
      <c r="B90" t="s">
        <v>53</v>
      </c>
      <c r="G90" s="18">
        <f>ROUND((+'[1]g-bs-a'!W62+'[1]g-bs-a'!W65+'[1]g-bs-a'!W64)/1000,0)</f>
        <v>16573</v>
      </c>
      <c r="I90" s="18">
        <v>3996</v>
      </c>
    </row>
    <row r="91" spans="7:9" ht="12.75">
      <c r="G91" s="18"/>
      <c r="I91" s="18"/>
    </row>
    <row r="92" spans="7:9" ht="13.5" thickBot="1">
      <c r="G92" s="22">
        <f>SUM(G86:G91)</f>
        <v>450375.301354724</v>
      </c>
      <c r="I92" s="22">
        <f>SUM(I86:I91)</f>
        <v>443401</v>
      </c>
    </row>
    <row r="93" spans="7:9" ht="13.5" thickTop="1">
      <c r="G93" s="24"/>
      <c r="I93" s="24"/>
    </row>
    <row r="94" spans="1:11" ht="13.5" thickBot="1">
      <c r="A94" t="s">
        <v>54</v>
      </c>
      <c r="G94" s="26">
        <f>+'[1]bs'!F63/100</f>
        <v>1.3467736497962703</v>
      </c>
      <c r="H94" s="27"/>
      <c r="I94" s="26">
        <v>1.41</v>
      </c>
      <c r="K94" s="28"/>
    </row>
    <row r="95" spans="9:11" ht="13.5" thickTop="1">
      <c r="I95" s="28"/>
      <c r="K95" s="28"/>
    </row>
    <row r="96" spans="9:11" ht="12.75">
      <c r="I96" s="28"/>
      <c r="K96" s="28"/>
    </row>
    <row r="97" ht="12.75">
      <c r="A97" t="s">
        <v>55</v>
      </c>
    </row>
    <row r="98" ht="12.75">
      <c r="A98" t="s">
        <v>29</v>
      </c>
    </row>
    <row r="101" ht="12.75">
      <c r="A101" s="1" t="s">
        <v>107</v>
      </c>
    </row>
    <row r="103" ht="12.75">
      <c r="A103" s="1" t="s">
        <v>56</v>
      </c>
    </row>
    <row r="104" ht="12.75">
      <c r="A104" s="1" t="str">
        <f>+A8</f>
        <v>For the quarter ended 30 September 2003</v>
      </c>
    </row>
    <row r="106" spans="9:11" ht="12.75">
      <c r="I106" s="29"/>
      <c r="K106" s="4"/>
    </row>
    <row r="107" spans="9:11" ht="12.75">
      <c r="I107" s="3" t="s">
        <v>57</v>
      </c>
      <c r="J107" s="17"/>
      <c r="K107" s="6" t="s">
        <v>7</v>
      </c>
    </row>
    <row r="108" spans="9:11" ht="12.75">
      <c r="I108" s="3" t="s">
        <v>58</v>
      </c>
      <c r="J108" s="6"/>
      <c r="K108" s="6" t="s">
        <v>58</v>
      </c>
    </row>
    <row r="109" spans="9:11" ht="12.75">
      <c r="I109" s="4" t="str">
        <f>+K14</f>
        <v>30.09.2003</v>
      </c>
      <c r="J109" s="3"/>
      <c r="K109" s="6" t="s">
        <v>12</v>
      </c>
    </row>
    <row r="110" spans="9:11" ht="12.75">
      <c r="I110" s="5" t="s">
        <v>13</v>
      </c>
      <c r="J110" s="3"/>
      <c r="K110" s="5" t="s">
        <v>13</v>
      </c>
    </row>
    <row r="111" ht="12.75">
      <c r="K111" s="23"/>
    </row>
    <row r="112" spans="1:11" ht="12.75">
      <c r="A112" t="s">
        <v>59</v>
      </c>
      <c r="I112">
        <f>ROUND('[1]cf'!L7/1000,0)</f>
        <v>50077</v>
      </c>
      <c r="K112" s="30">
        <v>29182</v>
      </c>
    </row>
    <row r="113" spans="1:11" ht="12.75">
      <c r="A113" t="s">
        <v>60</v>
      </c>
      <c r="I113" s="7">
        <f>ROUND(SUM('[1]cf'!J9:J26)/1000,0)</f>
        <v>-17630</v>
      </c>
      <c r="K113" s="31">
        <v>-3881</v>
      </c>
    </row>
    <row r="114" spans="1:11" ht="12.75">
      <c r="A114" t="s">
        <v>61</v>
      </c>
      <c r="I114">
        <f>SUM(I112:I113)</f>
        <v>32447</v>
      </c>
      <c r="K114">
        <f>SUM(K112:K113)</f>
        <v>25301</v>
      </c>
    </row>
    <row r="115" spans="1:11" ht="12.75">
      <c r="A115" t="s">
        <v>62</v>
      </c>
      <c r="K115" s="23"/>
    </row>
    <row r="116" spans="2:11" ht="12.75">
      <c r="B116" t="s">
        <v>63</v>
      </c>
      <c r="I116">
        <f>ROUND(SUM('[1]cf'!L30:L31)/1000,0)</f>
        <v>-17295</v>
      </c>
      <c r="K116" s="32">
        <v>-674</v>
      </c>
    </row>
    <row r="117" spans="2:11" ht="12.75">
      <c r="B117" t="s">
        <v>64</v>
      </c>
      <c r="I117">
        <f>ROUND(SUM('[1]cf'!L35:L39)/1000,0)</f>
        <v>-3236</v>
      </c>
      <c r="K117" s="32">
        <v>375</v>
      </c>
    </row>
    <row r="118" spans="1:11" ht="12.75">
      <c r="A118" t="s">
        <v>65</v>
      </c>
      <c r="I118">
        <f>ROUND('[1]cf'!L41/1000,0)</f>
        <v>-5466</v>
      </c>
      <c r="K118" s="32">
        <v>-8126</v>
      </c>
    </row>
    <row r="119" spans="1:11" ht="12.75">
      <c r="A119" t="str">
        <f>'[1]cf'!C42</f>
        <v>Retirement benefits paid</v>
      </c>
      <c r="I119">
        <f>ROUND('[1]cf'!L42/1000,0)</f>
        <v>-1514</v>
      </c>
      <c r="K119" s="32">
        <v>0</v>
      </c>
    </row>
    <row r="120" spans="1:11" ht="12.75">
      <c r="A120" t="s">
        <v>66</v>
      </c>
      <c r="I120" s="33">
        <f>SUM(I114:I119)</f>
        <v>4936</v>
      </c>
      <c r="J120" s="23"/>
      <c r="K120" s="33">
        <f>SUM(K114:K119)</f>
        <v>16876</v>
      </c>
    </row>
    <row r="121" ht="12.75">
      <c r="K121" s="23"/>
    </row>
    <row r="122" spans="1:11" ht="12.75">
      <c r="A122" t="s">
        <v>67</v>
      </c>
      <c r="K122" s="23"/>
    </row>
    <row r="123" spans="2:11" ht="12.75">
      <c r="B123" t="s">
        <v>68</v>
      </c>
      <c r="I123">
        <f>ROUND(SUM('[1]cf'!L50:L53)/1000,0)</f>
        <v>735</v>
      </c>
      <c r="K123" s="30">
        <v>3294</v>
      </c>
    </row>
    <row r="124" spans="2:11" ht="12.75">
      <c r="B124" t="s">
        <v>69</v>
      </c>
      <c r="I124">
        <f>ROUND(SUM('[1]cf'!L48:L49)/1000,0)</f>
        <v>30240</v>
      </c>
      <c r="K124" s="30">
        <v>-2779</v>
      </c>
    </row>
    <row r="125" spans="1:11" ht="12.75">
      <c r="A125" t="s">
        <v>70</v>
      </c>
      <c r="I125" s="33">
        <f>SUM(I123:I124)</f>
        <v>30975</v>
      </c>
      <c r="J125" s="23"/>
      <c r="K125" s="33">
        <f>SUM(K123:K124)</f>
        <v>515</v>
      </c>
    </row>
    <row r="126" ht="12.75">
      <c r="K126" s="23"/>
    </row>
    <row r="127" spans="1:11" ht="12.75">
      <c r="A127" t="s">
        <v>71</v>
      </c>
      <c r="K127" s="23"/>
    </row>
    <row r="128" spans="2:11" ht="12.75">
      <c r="B128" t="s">
        <v>72</v>
      </c>
      <c r="I128">
        <f>ROUND(('[1]cf'!L59+'[1]cf'!L64+'[1]cf'!L61)/1000,0)</f>
        <v>-13198</v>
      </c>
      <c r="K128" s="30">
        <v>-7317</v>
      </c>
    </row>
    <row r="129" spans="2:11" ht="12.75">
      <c r="B129" t="s">
        <v>73</v>
      </c>
      <c r="I129">
        <f>ROUND('[1]cf'!L60/1000,0)</f>
        <v>-17560</v>
      </c>
      <c r="K129" s="30">
        <v>-8947</v>
      </c>
    </row>
    <row r="130" spans="1:11" ht="12.75">
      <c r="A130" t="s">
        <v>74</v>
      </c>
      <c r="I130" s="33">
        <f>SUM(I128:I129)</f>
        <v>-30758</v>
      </c>
      <c r="J130" s="23"/>
      <c r="K130" s="33">
        <f>SUM(K128:K129)</f>
        <v>-16264</v>
      </c>
    </row>
    <row r="131" ht="12.75">
      <c r="K131" s="23"/>
    </row>
    <row r="132" spans="1:11" ht="12.75">
      <c r="A132" t="s">
        <v>75</v>
      </c>
      <c r="I132">
        <f>+I120+I125+I130</f>
        <v>5153</v>
      </c>
      <c r="K132">
        <f>+K120+K125+K130</f>
        <v>1127</v>
      </c>
    </row>
    <row r="133" ht="12.75">
      <c r="K133" s="6"/>
    </row>
    <row r="134" spans="1:11" ht="12.75">
      <c r="A134" t="s">
        <v>76</v>
      </c>
      <c r="I134">
        <f>ROUND('[1]cf'!L68/1000,0)</f>
        <v>6060</v>
      </c>
      <c r="K134" s="30">
        <v>1884</v>
      </c>
    </row>
    <row r="135" ht="12.75">
      <c r="K135" s="6"/>
    </row>
    <row r="136" spans="1:11" ht="13.5" thickBot="1">
      <c r="A136" t="s">
        <v>77</v>
      </c>
      <c r="I136" s="8">
        <f>+I132+I134</f>
        <v>11213</v>
      </c>
      <c r="J136" s="23"/>
      <c r="K136" s="8">
        <f>+K132+K134</f>
        <v>3011</v>
      </c>
    </row>
    <row r="137" ht="12.75">
      <c r="O137">
        <f>+I136-'[1]cf'!L70/1000</f>
        <v>1.1274497032281943</v>
      </c>
    </row>
    <row r="139" spans="1:2" ht="12.75" hidden="1">
      <c r="A139" t="s">
        <v>78</v>
      </c>
      <c r="B139" t="s">
        <v>79</v>
      </c>
    </row>
    <row r="140" ht="12.75" hidden="1">
      <c r="B140" t="s">
        <v>80</v>
      </c>
    </row>
    <row r="141" ht="12.75" hidden="1"/>
    <row r="142" ht="12.75">
      <c r="A142" t="s">
        <v>81</v>
      </c>
    </row>
    <row r="143" ht="12.75">
      <c r="A143" t="s">
        <v>29</v>
      </c>
    </row>
    <row r="146" ht="12.75">
      <c r="A146" s="1" t="s">
        <v>107</v>
      </c>
    </row>
    <row r="148" ht="12.75">
      <c r="A148" s="1" t="s">
        <v>82</v>
      </c>
    </row>
    <row r="149" ht="12.75">
      <c r="A149" s="1" t="str">
        <f>+A8</f>
        <v>For the quarter ended 30 September 2003</v>
      </c>
    </row>
    <row r="151" s="3" customFormat="1" ht="12.75">
      <c r="G151" s="3" t="s">
        <v>83</v>
      </c>
    </row>
    <row r="152" spans="5:11" s="3" customFormat="1" ht="12.75">
      <c r="E152" s="3" t="s">
        <v>84</v>
      </c>
      <c r="G152" s="3" t="s">
        <v>85</v>
      </c>
      <c r="I152" s="3" t="s">
        <v>86</v>
      </c>
      <c r="K152" s="3" t="s">
        <v>87</v>
      </c>
    </row>
    <row r="153" spans="5:13" s="3" customFormat="1" ht="12.75">
      <c r="E153" s="5" t="s">
        <v>88</v>
      </c>
      <c r="G153" s="5" t="s">
        <v>89</v>
      </c>
      <c r="I153" s="5" t="s">
        <v>90</v>
      </c>
      <c r="K153" s="5" t="s">
        <v>91</v>
      </c>
      <c r="M153" s="5" t="s">
        <v>92</v>
      </c>
    </row>
    <row r="155" ht="12.75">
      <c r="A155" t="s">
        <v>93</v>
      </c>
    </row>
    <row r="156" ht="12.75">
      <c r="A156" s="34" t="s">
        <v>94</v>
      </c>
    </row>
    <row r="158" spans="1:13" ht="12.75">
      <c r="A158" t="s">
        <v>95</v>
      </c>
      <c r="E158">
        <v>252115</v>
      </c>
      <c r="G158">
        <v>41085</v>
      </c>
      <c r="I158">
        <f>105609+7</f>
        <v>105616</v>
      </c>
      <c r="K158" s="27">
        <v>0</v>
      </c>
      <c r="M158">
        <f>SUM(E158:K158)</f>
        <v>398816</v>
      </c>
    </row>
    <row r="160" spans="1:13" ht="12.75">
      <c r="A160" t="s">
        <v>96</v>
      </c>
      <c r="E160">
        <f>ROUND('[1]w-cf'!J48/1000,0)</f>
        <v>10321</v>
      </c>
      <c r="G160">
        <f>('[1]w-cf'!J49+'[1]w-cf'!J51+'[1]w-cf'!J52+'[1]w-cf'!J53+'[1]w-cf'!J54+'[1]w-cf'!J55)/1000+(-2)</f>
        <v>-11499.347389999995</v>
      </c>
      <c r="I160">
        <f>('[1]w-cf'!J50/1000)</f>
        <v>-2341.9255982407926</v>
      </c>
      <c r="K160">
        <f>('[1]w-cf'!J56/1000)</f>
        <v>-14.06723</v>
      </c>
      <c r="M160">
        <f>SUM(E160:K160)</f>
        <v>-3534.340218240788</v>
      </c>
    </row>
    <row r="162" spans="1:15" ht="13.5" thickBot="1">
      <c r="A162" t="s">
        <v>97</v>
      </c>
      <c r="E162" s="8">
        <f>SUM(E158:E161)</f>
        <v>262436</v>
      </c>
      <c r="F162" s="8"/>
      <c r="G162" s="8">
        <f>SUM(G158:G161)</f>
        <v>29585.652610000005</v>
      </c>
      <c r="H162" s="8"/>
      <c r="I162" s="8">
        <f>SUM(I158:I161)</f>
        <v>103274.07440175921</v>
      </c>
      <c r="J162" s="8"/>
      <c r="K162" s="8">
        <f>SUM(K158:K161)</f>
        <v>-14.06723</v>
      </c>
      <c r="L162" s="8"/>
      <c r="M162" s="8">
        <f>SUM(M158:M161)</f>
        <v>395281.6597817592</v>
      </c>
      <c r="O162" s="35">
        <f>+'[1]g-bs-a'!W60/1000-M162</f>
        <v>0.11617285205284134</v>
      </c>
    </row>
    <row r="163" ht="12.75">
      <c r="O163">
        <f>SUM(E162:K162)-M162</f>
        <v>0</v>
      </c>
    </row>
    <row r="165" ht="12.75">
      <c r="A165" t="s">
        <v>93</v>
      </c>
    </row>
    <row r="166" ht="12.75">
      <c r="A166" s="34" t="s">
        <v>98</v>
      </c>
    </row>
    <row r="168" spans="1:13" ht="12.75">
      <c r="A168" t="s">
        <v>95</v>
      </c>
      <c r="E168">
        <v>252090</v>
      </c>
      <c r="G168">
        <v>41084</v>
      </c>
      <c r="I168">
        <v>84340</v>
      </c>
      <c r="K168" s="27">
        <v>0</v>
      </c>
      <c r="M168">
        <f>SUM(E168:J168)</f>
        <v>377514</v>
      </c>
    </row>
    <row r="169" ht="12.75">
      <c r="K169" s="27"/>
    </row>
    <row r="170" spans="1:13" ht="12.75">
      <c r="A170" t="s">
        <v>96</v>
      </c>
      <c r="E170">
        <v>25</v>
      </c>
      <c r="G170">
        <v>1</v>
      </c>
      <c r="I170">
        <v>20888</v>
      </c>
      <c r="K170" s="27">
        <v>0</v>
      </c>
      <c r="M170">
        <f>SUM(E170:J170)</f>
        <v>20914</v>
      </c>
    </row>
    <row r="171" ht="12.75">
      <c r="K171" s="27"/>
    </row>
    <row r="172" spans="1:15" ht="13.5" thickBot="1">
      <c r="A172" t="s">
        <v>97</v>
      </c>
      <c r="E172" s="8">
        <f>SUM(E168:E171)</f>
        <v>252115</v>
      </c>
      <c r="F172" s="8"/>
      <c r="G172" s="8">
        <f>SUM(G168:G171)</f>
        <v>41085</v>
      </c>
      <c r="H172" s="8"/>
      <c r="I172" s="8">
        <f>SUM(I168:I171)</f>
        <v>105228</v>
      </c>
      <c r="J172" s="8"/>
      <c r="K172" s="36">
        <v>0</v>
      </c>
      <c r="L172" s="8"/>
      <c r="M172" s="8">
        <f>SUM(E172:J172)</f>
        <v>398428</v>
      </c>
      <c r="O172" s="35"/>
    </row>
    <row r="173" spans="7:15" ht="12.75">
      <c r="G173" s="23"/>
      <c r="I173" s="23"/>
      <c r="K173" s="23"/>
      <c r="M173" s="23"/>
      <c r="O173" s="35"/>
    </row>
    <row r="174" spans="7:15" ht="12.75">
      <c r="G174" s="23"/>
      <c r="I174" s="23"/>
      <c r="K174" s="23"/>
      <c r="M174" s="23"/>
      <c r="O174" s="35"/>
    </row>
    <row r="175" spans="1:2" ht="12.75" hidden="1">
      <c r="A175" t="s">
        <v>78</v>
      </c>
      <c r="B175" t="s">
        <v>79</v>
      </c>
    </row>
    <row r="176" ht="12.75" hidden="1">
      <c r="B176" t="s">
        <v>80</v>
      </c>
    </row>
    <row r="178" ht="12.75">
      <c r="A178" t="s">
        <v>99</v>
      </c>
    </row>
    <row r="179" ht="12.75">
      <c r="A179" t="s">
        <v>29</v>
      </c>
    </row>
    <row r="182" ht="12.75">
      <c r="A182" s="1" t="s">
        <v>100</v>
      </c>
    </row>
    <row r="184" spans="7:13" ht="12.75">
      <c r="G184" s="2" t="s">
        <v>4</v>
      </c>
      <c r="H184" s="2"/>
      <c r="I184" s="2"/>
      <c r="K184" s="2" t="s">
        <v>5</v>
      </c>
      <c r="L184" s="2"/>
      <c r="M184" s="2"/>
    </row>
    <row r="185" spans="7:13" ht="12.75">
      <c r="G185" s="3" t="s">
        <v>6</v>
      </c>
      <c r="H185" s="3"/>
      <c r="I185" s="3" t="s">
        <v>7</v>
      </c>
      <c r="K185" s="3" t="s">
        <v>6</v>
      </c>
      <c r="L185" s="3"/>
      <c r="M185" s="3" t="s">
        <v>7</v>
      </c>
    </row>
    <row r="186" spans="7:13" ht="12.75">
      <c r="G186" s="3" t="s">
        <v>8</v>
      </c>
      <c r="H186" s="3"/>
      <c r="I186" s="3" t="s">
        <v>9</v>
      </c>
      <c r="K186" s="3" t="s">
        <v>8</v>
      </c>
      <c r="L186" s="3"/>
      <c r="M186" s="3" t="s">
        <v>9</v>
      </c>
    </row>
    <row r="187" spans="7:13" ht="12.75">
      <c r="G187" s="3" t="s">
        <v>10</v>
      </c>
      <c r="H187" s="3"/>
      <c r="I187" s="3" t="s">
        <v>10</v>
      </c>
      <c r="K187" s="3" t="s">
        <v>10</v>
      </c>
      <c r="L187" s="3"/>
      <c r="M187" s="3" t="s">
        <v>10</v>
      </c>
    </row>
    <row r="188" spans="7:13" ht="12.75">
      <c r="G188" s="4" t="str">
        <f>+G14</f>
        <v>30.09.2003</v>
      </c>
      <c r="H188" s="3"/>
      <c r="I188" s="4" t="str">
        <f>+I14</f>
        <v>30.09.2002</v>
      </c>
      <c r="K188" s="4" t="str">
        <f>+K14</f>
        <v>30.09.2003</v>
      </c>
      <c r="L188" s="3"/>
      <c r="M188" s="4" t="str">
        <f>+M14</f>
        <v>30.09.2002</v>
      </c>
    </row>
    <row r="189" spans="7:13" ht="12.75">
      <c r="G189" s="5" t="s">
        <v>13</v>
      </c>
      <c r="H189" s="3"/>
      <c r="I189" s="5" t="s">
        <v>13</v>
      </c>
      <c r="K189" s="5" t="s">
        <v>13</v>
      </c>
      <c r="L189" s="3"/>
      <c r="M189" s="5" t="s">
        <v>13</v>
      </c>
    </row>
    <row r="191" spans="1:13" ht="12.75">
      <c r="A191" s="19" t="s">
        <v>101</v>
      </c>
      <c r="B191" t="s">
        <v>102</v>
      </c>
      <c r="G191" s="10">
        <v>6</v>
      </c>
      <c r="H191" s="37"/>
      <c r="I191" s="10">
        <v>3.5</v>
      </c>
      <c r="J191" s="37"/>
      <c r="K191" s="38">
        <v>12</v>
      </c>
      <c r="L191" s="37"/>
      <c r="M191" s="10">
        <v>3.5</v>
      </c>
    </row>
    <row r="192" spans="9:13" ht="12.75">
      <c r="I192" s="15"/>
      <c r="M192" s="15"/>
    </row>
    <row r="193" spans="1:14" ht="12.75">
      <c r="A193" s="19" t="s">
        <v>103</v>
      </c>
      <c r="B193" t="s">
        <v>104</v>
      </c>
      <c r="G193" s="15">
        <f>+'[1]g-p&amp;l'!Z545/1000</f>
        <v>369.16855000000004</v>
      </c>
      <c r="H193" s="15"/>
      <c r="I193" s="15">
        <v>183</v>
      </c>
      <c r="J193" s="15"/>
      <c r="K193" s="15">
        <f>'[1]g-p&amp;l'!Z200/1000</f>
        <v>1163.2619299999997</v>
      </c>
      <c r="L193" s="15"/>
      <c r="M193" s="15">
        <v>679</v>
      </c>
      <c r="N193" s="15"/>
    </row>
    <row r="194" spans="7:14" ht="12.75">
      <c r="G194" s="15"/>
      <c r="H194" s="15"/>
      <c r="I194" s="15"/>
      <c r="J194" s="15"/>
      <c r="K194" s="15"/>
      <c r="L194" s="15"/>
      <c r="M194" s="15"/>
      <c r="N194" s="15"/>
    </row>
    <row r="195" spans="1:14" ht="12.75">
      <c r="A195" s="19" t="s">
        <v>105</v>
      </c>
      <c r="B195" t="s">
        <v>106</v>
      </c>
      <c r="G195" s="15">
        <f>+'[1]g-p&amp;l'!Z533/1000</f>
        <v>1087.0744399999996</v>
      </c>
      <c r="H195" s="15"/>
      <c r="I195" s="15">
        <v>1133</v>
      </c>
      <c r="J195" s="15"/>
      <c r="K195" s="15">
        <f>'[1]g-p&amp;l'!Z188/1000</f>
        <v>3570.43292</v>
      </c>
      <c r="L195" s="15"/>
      <c r="M195" s="15">
        <v>3607</v>
      </c>
      <c r="N195" s="15"/>
    </row>
    <row r="196" spans="7:14" ht="12.75">
      <c r="G196" s="15"/>
      <c r="H196" s="15"/>
      <c r="I196" s="15"/>
      <c r="J196" s="15"/>
      <c r="K196" s="15"/>
      <c r="L196" s="15"/>
      <c r="M196" s="15"/>
      <c r="N196" s="15"/>
    </row>
  </sheetData>
  <printOptions/>
  <pageMargins left="0.75" right="0.5" top="1" bottom="1" header="0.25" footer="0.25"/>
  <pageSetup horizontalDpi="300" verticalDpi="300" orientation="portrait" scale="95" r:id="rId1"/>
  <headerFooter alignWithMargins="0">
    <oddFooter>&amp;Rpage &amp;P</oddFooter>
  </headerFooter>
  <rowBreaks count="4" manualBreakCount="4">
    <brk id="50" max="255" man="1"/>
    <brk id="100" max="12" man="1"/>
    <brk id="145" max="255" man="1"/>
    <brk id="18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</dc:creator>
  <cp:keywords/>
  <dc:description/>
  <cp:lastModifiedBy>Tan</cp:lastModifiedBy>
  <dcterms:created xsi:type="dcterms:W3CDTF">2003-11-18T02:19:07Z</dcterms:created>
  <dcterms:modified xsi:type="dcterms:W3CDTF">2003-11-18T02:20:27Z</dcterms:modified>
  <cp:category/>
  <cp:version/>
  <cp:contentType/>
  <cp:contentStatus/>
</cp:coreProperties>
</file>